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新学部・新学科2018~\古生物関連学部\R06年度\05_施設整備\02_電気設備工事\01_起案・公告\様式\"/>
    </mc:Choice>
  </mc:AlternateContent>
  <bookViews>
    <workbookView xWindow="0" yWindow="0" windowWidth="28800" windowHeight="11460"/>
  </bookViews>
  <sheets>
    <sheet name="様式第２号" sheetId="10" r:id="rId1"/>
    <sheet name="評点計算テーブル" sheetId="6" r:id="rId2"/>
  </sheets>
  <definedNames>
    <definedName name="_xlnm.Print_Area" localSheetId="1">評点計算テーブル!$A$1:$Y$51</definedName>
    <definedName name="_xlnm.Print_Area" localSheetId="0">様式第２号!$A$1:$Q$26</definedName>
  </definedNames>
  <calcPr calcId="162913"/>
</workbook>
</file>

<file path=xl/calcChain.xml><?xml version="1.0" encoding="utf-8"?>
<calcChain xmlns="http://schemas.openxmlformats.org/spreadsheetml/2006/main">
  <c r="V3" i="6" l="1"/>
  <c r="X8" i="6" s="1"/>
  <c r="X3" i="6"/>
  <c r="Y3" i="6"/>
  <c r="N19" i="10" s="1"/>
  <c r="Q3" i="6"/>
  <c r="S3" i="6" s="1"/>
  <c r="T3" i="6" s="1"/>
  <c r="N18" i="10" s="1"/>
  <c r="N20" i="10" s="1"/>
  <c r="L3" i="6"/>
  <c r="G3" i="6"/>
  <c r="B3" i="6"/>
  <c r="N21" i="10"/>
  <c r="N12" i="10"/>
  <c r="N3" i="6"/>
  <c r="O3" i="6"/>
  <c r="N10" i="10" s="1"/>
  <c r="X5" i="6"/>
  <c r="X6" i="6"/>
  <c r="X7" i="6"/>
  <c r="X9" i="6"/>
  <c r="X10" i="6"/>
  <c r="X11" i="6"/>
  <c r="X12" i="6"/>
  <c r="X13" i="6"/>
  <c r="X14" i="6"/>
  <c r="X15" i="6"/>
  <c r="X16" i="6"/>
  <c r="X17" i="6"/>
  <c r="X18" i="6"/>
  <c r="X19" i="6"/>
  <c r="X21" i="6"/>
  <c r="X22" i="6"/>
  <c r="X23" i="6"/>
  <c r="X24" i="6"/>
  <c r="X25" i="6"/>
  <c r="X26" i="6"/>
  <c r="X27" i="6"/>
  <c r="X28" i="6"/>
  <c r="X29" i="6"/>
  <c r="X30" i="6"/>
  <c r="X31" i="6"/>
  <c r="X33" i="6"/>
  <c r="X34" i="6"/>
  <c r="X35" i="6"/>
  <c r="X36" i="6"/>
  <c r="X37" i="6"/>
  <c r="X38" i="6"/>
  <c r="X39" i="6"/>
  <c r="X40" i="6"/>
  <c r="X41" i="6"/>
  <c r="X42" i="6"/>
  <c r="X43" i="6"/>
  <c r="S4" i="6"/>
  <c r="S5" i="6"/>
  <c r="S6" i="6"/>
  <c r="S7" i="6"/>
  <c r="S8" i="6"/>
  <c r="S9" i="6"/>
  <c r="S10" i="6"/>
  <c r="S11" i="6"/>
  <c r="S12" i="6"/>
  <c r="S13" i="6"/>
  <c r="S14" i="6"/>
  <c r="S16" i="6"/>
  <c r="S17" i="6"/>
  <c r="S18" i="6"/>
  <c r="S19" i="6"/>
  <c r="S20" i="6"/>
  <c r="S21" i="6"/>
  <c r="S22" i="6"/>
  <c r="S23" i="6"/>
  <c r="S24" i="6"/>
  <c r="S25" i="6"/>
  <c r="S26" i="6"/>
  <c r="S28" i="6"/>
  <c r="S29" i="6"/>
  <c r="S30" i="6"/>
  <c r="S31" i="6"/>
  <c r="N7" i="6"/>
  <c r="N9" i="6"/>
  <c r="N11" i="6"/>
  <c r="N13" i="6"/>
  <c r="N15" i="6"/>
  <c r="N17" i="6"/>
  <c r="N19" i="6"/>
  <c r="N21" i="6"/>
  <c r="N23" i="6"/>
  <c r="N25" i="6"/>
  <c r="N27" i="6"/>
  <c r="N29" i="6"/>
  <c r="N31" i="6"/>
  <c r="N33" i="6"/>
  <c r="N35" i="6"/>
  <c r="N37" i="6"/>
  <c r="D38" i="6"/>
  <c r="D33" i="6"/>
  <c r="D41" i="6"/>
  <c r="D28" i="6"/>
  <c r="D12" i="6"/>
  <c r="X4" i="6"/>
  <c r="N6" i="6"/>
  <c r="D21" i="6"/>
  <c r="D3" i="6"/>
  <c r="D34" i="6"/>
  <c r="D18" i="6"/>
  <c r="D7" i="6"/>
  <c r="D23" i="6"/>
  <c r="D15" i="6"/>
  <c r="D31" i="6"/>
  <c r="D43" i="6"/>
  <c r="D26" i="6"/>
  <c r="D6" i="6"/>
  <c r="D40" i="6"/>
  <c r="N4" i="6"/>
  <c r="D36" i="6"/>
  <c r="D20" i="6"/>
  <c r="D9" i="6"/>
  <c r="D25" i="6"/>
  <c r="N38" i="6"/>
  <c r="N36" i="6"/>
  <c r="N34" i="6"/>
  <c r="N32" i="6"/>
  <c r="N30" i="6"/>
  <c r="N28" i="6"/>
  <c r="N26" i="6"/>
  <c r="N24" i="6"/>
  <c r="N22" i="6"/>
  <c r="N20" i="6"/>
  <c r="N18" i="6"/>
  <c r="N16" i="6"/>
  <c r="N14" i="6"/>
  <c r="N12" i="6"/>
  <c r="N10" i="6"/>
  <c r="N8" i="6"/>
  <c r="N5" i="6"/>
  <c r="E3" i="6"/>
  <c r="N8" i="10" s="1"/>
  <c r="D42" i="6"/>
  <c r="D19" i="6"/>
  <c r="D27" i="6"/>
  <c r="D35" i="6"/>
  <c r="D11" i="6"/>
  <c r="D39" i="6"/>
  <c r="D22" i="6"/>
  <c r="D30" i="6"/>
  <c r="D10" i="6"/>
  <c r="D8" i="6"/>
  <c r="D5" i="6"/>
  <c r="D17" i="6"/>
  <c r="D4" i="6"/>
  <c r="D14" i="6"/>
  <c r="D32" i="6"/>
  <c r="D24" i="6"/>
  <c r="D16" i="6"/>
  <c r="D13" i="6"/>
  <c r="D37" i="6"/>
  <c r="D29" i="6"/>
  <c r="I31" i="6"/>
  <c r="I23" i="6"/>
  <c r="I15" i="6"/>
  <c r="I7" i="6"/>
  <c r="I42" i="6"/>
  <c r="I3" i="6"/>
  <c r="I41" i="6"/>
  <c r="I8" i="6"/>
  <c r="I16" i="6"/>
  <c r="I26" i="6"/>
  <c r="I36" i="6"/>
  <c r="I33" i="6"/>
  <c r="I25" i="6"/>
  <c r="I17" i="6"/>
  <c r="I9" i="6"/>
  <c r="I40" i="6"/>
  <c r="I48" i="6"/>
  <c r="I43" i="6"/>
  <c r="I6" i="6"/>
  <c r="I14" i="6"/>
  <c r="I20" i="6"/>
  <c r="I28" i="6"/>
  <c r="I34" i="6"/>
  <c r="I35" i="6"/>
  <c r="I27" i="6"/>
  <c r="I19" i="6"/>
  <c r="I11" i="6"/>
  <c r="I38" i="6"/>
  <c r="I46" i="6"/>
  <c r="I45" i="6"/>
  <c r="I4" i="6"/>
  <c r="I12" i="6"/>
  <c r="I22" i="6"/>
  <c r="I30" i="6"/>
  <c r="I37" i="6"/>
  <c r="I29" i="6"/>
  <c r="I21" i="6"/>
  <c r="I13" i="6"/>
  <c r="I5" i="6"/>
  <c r="I44" i="6"/>
  <c r="I47" i="6"/>
  <c r="I39" i="6"/>
  <c r="I10" i="6"/>
  <c r="I18" i="6"/>
  <c r="I24" i="6"/>
  <c r="I32" i="6"/>
  <c r="J3" i="6"/>
  <c r="N9" i="10" s="1"/>
  <c r="N11" i="10" s="1"/>
  <c r="N26" i="10" l="1"/>
  <c r="S27" i="6"/>
  <c r="S15" i="6"/>
  <c r="X32" i="6"/>
  <c r="X20" i="6"/>
</calcChain>
</file>

<file path=xl/sharedStrings.xml><?xml version="1.0" encoding="utf-8"?>
<sst xmlns="http://schemas.openxmlformats.org/spreadsheetml/2006/main" count="121" uniqueCount="60">
  <si>
    <t>Ａ</t>
  </si>
  <si>
    <t>Ｂ</t>
  </si>
  <si>
    <t>Ｃ</t>
  </si>
  <si>
    <t>評価対象数値</t>
  </si>
  <si>
    <t>自己資本額</t>
  </si>
  <si>
    <t>利益額</t>
    <rPh sb="0" eb="2">
      <t>リエキ</t>
    </rPh>
    <rPh sb="2" eb="3">
      <t>ガク</t>
    </rPh>
    <phoneticPr fontId="1"/>
  </si>
  <si>
    <t>千円</t>
    <rPh sb="0" eb="2">
      <t>センエン</t>
    </rPh>
    <phoneticPr fontId="1"/>
  </si>
  <si>
    <t>経営規模</t>
    <phoneticPr fontId="1"/>
  </si>
  <si>
    <t>(A+B+C)=</t>
    <phoneticPr fontId="1"/>
  </si>
  <si>
    <t>　経　営　状　況</t>
    <phoneticPr fontId="1"/>
  </si>
  <si>
    <t>点</t>
    <rPh sb="0" eb="1">
      <t>テン</t>
    </rPh>
    <phoneticPr fontId="1"/>
  </si>
  <si>
    <t>　商号または名称</t>
    <phoneticPr fontId="1"/>
  </si>
  <si>
    <t>人</t>
    <rPh sb="0" eb="1">
      <t>ヒト</t>
    </rPh>
    <phoneticPr fontId="1"/>
  </si>
  <si>
    <t>　その他の審査項目
（社会性等）</t>
    <rPh sb="3" eb="4">
      <t>ホカ</t>
    </rPh>
    <rPh sb="5" eb="7">
      <t>シンサ</t>
    </rPh>
    <rPh sb="7" eb="9">
      <t>コウモク</t>
    </rPh>
    <rPh sb="11" eb="14">
      <t>シャカイセイ</t>
    </rPh>
    <rPh sb="14" eb="15">
      <t>トウ</t>
    </rPh>
    <phoneticPr fontId="1"/>
  </si>
  <si>
    <t>評点</t>
    <rPh sb="0" eb="2">
      <t>ヒョウテン</t>
    </rPh>
    <phoneticPr fontId="1"/>
  </si>
  <si>
    <t>a</t>
    <phoneticPr fontId="1"/>
  </si>
  <si>
    <t>b</t>
    <phoneticPr fontId="1"/>
  </si>
  <si>
    <t>Ｙ</t>
    <phoneticPr fontId="1"/>
  </si>
  <si>
    <t>Ｗ</t>
    <phoneticPr fontId="1"/>
  </si>
  <si>
    <r>
      <t>Ｘ</t>
    </r>
    <r>
      <rPr>
        <sz val="9"/>
        <rFont val="ＭＳ Ｐ明朝"/>
        <family val="1"/>
        <charset val="128"/>
      </rPr>
      <t>1</t>
    </r>
    <phoneticPr fontId="1"/>
  </si>
  <si>
    <t>経営事項審査対象工事種別</t>
    <phoneticPr fontId="1"/>
  </si>
  <si>
    <t>工事</t>
    <rPh sb="0" eb="2">
      <t>コウジ</t>
    </rPh>
    <phoneticPr fontId="1"/>
  </si>
  <si>
    <t>経　営　規　模　等　総　括　表</t>
    <phoneticPr fontId="1"/>
  </si>
  <si>
    <t>=</t>
    <phoneticPr fontId="1"/>
  </si>
  <si>
    <t>Ｐ</t>
    <phoneticPr fontId="1"/>
  </si>
  <si>
    <r>
      <t>A、B、C</t>
    </r>
    <r>
      <rPr>
        <sz val="9"/>
        <rFont val="ＭＳ Ｐ明朝"/>
        <family val="1"/>
        <charset val="128"/>
      </rPr>
      <t xml:space="preserve">の平均
</t>
    </r>
    <r>
      <rPr>
        <sz val="6"/>
        <rFont val="ＭＳ Ｐ明朝"/>
        <family val="1"/>
        <charset val="128"/>
      </rPr>
      <t>（小数点以下四捨五入）</t>
    </r>
    <rPh sb="6" eb="8">
      <t>ヘイキン</t>
    </rPh>
    <rPh sb="10" eb="13">
      <t>ショウスウテン</t>
    </rPh>
    <rPh sb="13" eb="15">
      <t>イカ</t>
    </rPh>
    <rPh sb="15" eb="19">
      <t>シシャゴニュウ</t>
    </rPh>
    <phoneticPr fontId="1"/>
  </si>
  <si>
    <r>
      <t>Ｘ</t>
    </r>
    <r>
      <rPr>
        <sz val="9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=(a+b)/2</t>
    </r>
    <phoneticPr fontId="1"/>
  </si>
  <si>
    <t>技術職員数</t>
    <rPh sb="0" eb="2">
      <t>ギジュツ</t>
    </rPh>
    <rPh sb="2" eb="5">
      <t>ショクインスウ</t>
    </rPh>
    <phoneticPr fontId="1"/>
  </si>
  <si>
    <t>工事種類別
年間平均完成工事高</t>
    <rPh sb="0" eb="2">
      <t>コウジ</t>
    </rPh>
    <rPh sb="2" eb="4">
      <t>シュルイ</t>
    </rPh>
    <rPh sb="4" eb="5">
      <t>ベツ</t>
    </rPh>
    <rPh sb="6" eb="8">
      <t>ネンカン</t>
    </rPh>
    <rPh sb="8" eb="10">
      <t>ヘイキン</t>
    </rPh>
    <rPh sb="10" eb="12">
      <t>カンセイ</t>
    </rPh>
    <rPh sb="12" eb="14">
      <t>コウジ</t>
    </rPh>
    <rPh sb="14" eb="15">
      <t>ダカ</t>
    </rPh>
    <phoneticPr fontId="1"/>
  </si>
  <si>
    <t>工事種類別
年間平均元請完成工事高</t>
    <rPh sb="0" eb="2">
      <t>コウジ</t>
    </rPh>
    <rPh sb="4" eb="5">
      <t>ベツ</t>
    </rPh>
    <rPh sb="6" eb="8">
      <t>ネンカン</t>
    </rPh>
    <rPh sb="8" eb="10">
      <t>ヘイキン</t>
    </rPh>
    <rPh sb="10" eb="12">
      <t>モトウケ</t>
    </rPh>
    <rPh sb="12" eb="14">
      <t>カンセイ</t>
    </rPh>
    <rPh sb="14" eb="16">
      <t>コウジ</t>
    </rPh>
    <rPh sb="16" eb="17">
      <t>ダカ</t>
    </rPh>
    <phoneticPr fontId="1"/>
  </si>
  <si>
    <t>技　術　力</t>
    <rPh sb="0" eb="1">
      <t>ワザ</t>
    </rPh>
    <rPh sb="2" eb="3">
      <t>ジュツ</t>
    </rPh>
    <rPh sb="4" eb="5">
      <t>チカラ</t>
    </rPh>
    <phoneticPr fontId="1"/>
  </si>
  <si>
    <t>工事種類別
一級技術者数</t>
    <rPh sb="0" eb="2">
      <t>コウジ</t>
    </rPh>
    <rPh sb="2" eb="4">
      <t>シュルイ</t>
    </rPh>
    <rPh sb="4" eb="5">
      <t>ベツ</t>
    </rPh>
    <rPh sb="6" eb="8">
      <t>イッキュウ</t>
    </rPh>
    <rPh sb="8" eb="10">
      <t>ギジュツ</t>
    </rPh>
    <rPh sb="10" eb="11">
      <t>シャ</t>
    </rPh>
    <rPh sb="11" eb="12">
      <t>スウ</t>
    </rPh>
    <phoneticPr fontId="1"/>
  </si>
  <si>
    <t>工事種類別
基幹技能者数</t>
    <rPh sb="0" eb="2">
      <t>コウジ</t>
    </rPh>
    <rPh sb="2" eb="4">
      <t>シュルイ</t>
    </rPh>
    <rPh sb="4" eb="5">
      <t>ベツ</t>
    </rPh>
    <rPh sb="6" eb="8">
      <t>キカン</t>
    </rPh>
    <rPh sb="8" eb="11">
      <t>ギノウシャ</t>
    </rPh>
    <rPh sb="11" eb="12">
      <t>スウ</t>
    </rPh>
    <phoneticPr fontId="1"/>
  </si>
  <si>
    <t>（上記のうち講習受講）</t>
    <rPh sb="1" eb="3">
      <t>ジョウキ</t>
    </rPh>
    <rPh sb="6" eb="8">
      <t>コウシュウ</t>
    </rPh>
    <rPh sb="8" eb="10">
      <t>ジュコウ</t>
    </rPh>
    <phoneticPr fontId="1"/>
  </si>
  <si>
    <t>e</t>
    <phoneticPr fontId="1"/>
  </si>
  <si>
    <t>Ｚ=d×4/5＋e×1/5</t>
    <phoneticPr fontId="1"/>
  </si>
  <si>
    <t>計</t>
    <rPh sb="0" eb="1">
      <t>ケイ</t>
    </rPh>
    <phoneticPr fontId="1"/>
  </si>
  <si>
    <t>(①×５＋②×１＋③×３＋④×２＋⑤×１）=</t>
    <phoneticPr fontId="1"/>
  </si>
  <si>
    <t>(A+B+C)=
①</t>
    <phoneticPr fontId="1"/>
  </si>
  <si>
    <t>(A+B+C)=
②</t>
    <phoneticPr fontId="1"/>
  </si>
  <si>
    <t>(A+B+C)=
③</t>
    <phoneticPr fontId="1"/>
  </si>
  <si>
    <t>(A+B+C)=
④</t>
    <phoneticPr fontId="1"/>
  </si>
  <si>
    <t>(A+B+C)=
⑤</t>
    <phoneticPr fontId="1"/>
  </si>
  <si>
    <t>d</t>
    <phoneticPr fontId="1"/>
  </si>
  <si>
    <r>
      <t>※総合評点＝０．２５×</t>
    </r>
    <r>
      <rPr>
        <b/>
        <sz val="10"/>
        <rFont val="ＭＳ Ｐ明朝"/>
        <family val="1"/>
        <charset val="128"/>
      </rPr>
      <t>Ｘ１</t>
    </r>
    <r>
      <rPr>
        <sz val="10"/>
        <rFont val="ＭＳ Ｐ明朝"/>
        <family val="1"/>
        <charset val="128"/>
      </rPr>
      <t>（　　　　）＋０．１５×</t>
    </r>
    <r>
      <rPr>
        <b/>
        <sz val="10"/>
        <rFont val="ＭＳ Ｐ明朝"/>
        <family val="1"/>
        <charset val="128"/>
      </rPr>
      <t>Ｘ２</t>
    </r>
    <r>
      <rPr>
        <sz val="10"/>
        <rFont val="ＭＳ Ｐ明朝"/>
        <family val="1"/>
        <charset val="128"/>
      </rPr>
      <t>（　　　　）＋０．２×</t>
    </r>
    <r>
      <rPr>
        <b/>
        <sz val="10"/>
        <rFont val="ＭＳ Ｐ明朝"/>
        <family val="1"/>
        <charset val="128"/>
      </rPr>
      <t>Ｙ</t>
    </r>
    <r>
      <rPr>
        <sz val="10"/>
        <rFont val="ＭＳ Ｐ明朝"/>
        <family val="1"/>
        <charset val="128"/>
      </rPr>
      <t>（　　　　）＋０．２５×</t>
    </r>
    <r>
      <rPr>
        <b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（　　　　）＋０．１５×</t>
    </r>
    <r>
      <rPr>
        <b/>
        <sz val="10"/>
        <rFont val="ＭＳ Ｐ明朝"/>
        <family val="1"/>
        <charset val="128"/>
      </rPr>
      <t>Ｗ</t>
    </r>
    <r>
      <rPr>
        <sz val="10"/>
        <rFont val="ＭＳ Ｐ明朝"/>
        <family val="1"/>
        <charset val="128"/>
      </rPr>
      <t>（　　　　）</t>
    </r>
    <rPh sb="1" eb="3">
      <t>ソウゴウ</t>
    </rPh>
    <rPh sb="3" eb="5">
      <t>ヒョウテン</t>
    </rPh>
    <phoneticPr fontId="1"/>
  </si>
  <si>
    <t>工事種類別
二級技術者数</t>
    <rPh sb="0" eb="2">
      <t>コウジ</t>
    </rPh>
    <rPh sb="2" eb="4">
      <t>シュルイ</t>
    </rPh>
    <rPh sb="4" eb="5">
      <t>ベツ</t>
    </rPh>
    <rPh sb="6" eb="7">
      <t>２</t>
    </rPh>
    <rPh sb="7" eb="8">
      <t>キュウ</t>
    </rPh>
    <rPh sb="8" eb="11">
      <t>ギジュツシャ</t>
    </rPh>
    <rPh sb="11" eb="12">
      <t>スウ</t>
    </rPh>
    <phoneticPr fontId="1"/>
  </si>
  <si>
    <t>工事種類別
その他の技術者数</t>
    <rPh sb="0" eb="2">
      <t>コウジ</t>
    </rPh>
    <rPh sb="2" eb="4">
      <t>シュルイ</t>
    </rPh>
    <rPh sb="4" eb="5">
      <t>ベツ</t>
    </rPh>
    <rPh sb="8" eb="9">
      <t>ホカ</t>
    </rPh>
    <rPh sb="10" eb="12">
      <t>ギジュツ</t>
    </rPh>
    <rPh sb="12" eb="13">
      <t>モノ</t>
    </rPh>
    <rPh sb="13" eb="14">
      <t>スウ</t>
    </rPh>
    <phoneticPr fontId="1"/>
  </si>
  <si>
    <t>様式第２号</t>
    <phoneticPr fontId="1"/>
  </si>
  <si>
    <t>（注２）評点の計算方法については、別紙を参照してください。</t>
    <rPh sb="1" eb="2">
      <t>チュウ</t>
    </rPh>
    <rPh sb="4" eb="6">
      <t>ヒョウテン</t>
    </rPh>
    <rPh sb="7" eb="9">
      <t>ケイサン</t>
    </rPh>
    <rPh sb="9" eb="11">
      <t>ホウホウ</t>
    </rPh>
    <rPh sb="17" eb="19">
      <t>ベッシ</t>
    </rPh>
    <rPh sb="20" eb="22">
      <t>サンショウ</t>
    </rPh>
    <phoneticPr fontId="1"/>
  </si>
  <si>
    <t>（注３）評価対象数値がマイナスの値となる場合は、０と記載してください。</t>
    <rPh sb="1" eb="2">
      <t>チュウ</t>
    </rPh>
    <rPh sb="4" eb="6">
      <t>ヒョウカ</t>
    </rPh>
    <rPh sb="6" eb="8">
      <t>タイショウ</t>
    </rPh>
    <rPh sb="8" eb="10">
      <t>スウチ</t>
    </rPh>
    <rPh sb="16" eb="17">
      <t>アタイ</t>
    </rPh>
    <rPh sb="20" eb="22">
      <t>バアイ</t>
    </rPh>
    <rPh sb="26" eb="28">
      <t>キサイ</t>
    </rPh>
    <phoneticPr fontId="1"/>
  </si>
  <si>
    <t>X1</t>
    <phoneticPr fontId="1"/>
  </si>
  <si>
    <t>評価対象値</t>
    <rPh sb="0" eb="2">
      <t>ヒョウカ</t>
    </rPh>
    <rPh sb="2" eb="4">
      <t>タイショウ</t>
    </rPh>
    <rPh sb="4" eb="5">
      <t>チ</t>
    </rPh>
    <phoneticPr fontId="1"/>
  </si>
  <si>
    <t>計算テーブル</t>
    <rPh sb="0" eb="2">
      <t>ケイサン</t>
    </rPh>
    <phoneticPr fontId="1"/>
  </si>
  <si>
    <t>評価対象値（近似値）　（千円）</t>
    <rPh sb="0" eb="2">
      <t>ヒョウカ</t>
    </rPh>
    <rPh sb="2" eb="4">
      <t>タイショウ</t>
    </rPh>
    <rPh sb="4" eb="5">
      <t>アタイ</t>
    </rPh>
    <rPh sb="6" eb="9">
      <t>キンジチ</t>
    </rPh>
    <rPh sb="12" eb="14">
      <t>センエン</t>
    </rPh>
    <phoneticPr fontId="1"/>
  </si>
  <si>
    <t>結果
（切り捨て前）</t>
    <rPh sb="0" eb="2">
      <t>ケッカ</t>
    </rPh>
    <rPh sb="4" eb="5">
      <t>キ</t>
    </rPh>
    <rPh sb="6" eb="7">
      <t>ス</t>
    </rPh>
    <rPh sb="8" eb="9">
      <t>マエ</t>
    </rPh>
    <phoneticPr fontId="1"/>
  </si>
  <si>
    <t>b</t>
    <phoneticPr fontId="1"/>
  </si>
  <si>
    <t>-</t>
  </si>
  <si>
    <t>-</t>
    <phoneticPr fontId="1"/>
  </si>
  <si>
    <t>評点
（発注機関記入）</t>
    <rPh sb="0" eb="2">
      <t>ヒョウテン</t>
    </rPh>
    <rPh sb="4" eb="6">
      <t>ハッチュウ</t>
    </rPh>
    <rPh sb="6" eb="8">
      <t>キカン</t>
    </rPh>
    <rPh sb="8" eb="10">
      <t>キニュウ</t>
    </rPh>
    <phoneticPr fontId="1"/>
  </si>
  <si>
    <t>（注１） 「評点（発注機関記入）」の欄は記入しないでください。</t>
    <rPh sb="9" eb="11">
      <t>ハッチュウ</t>
    </rPh>
    <rPh sb="11" eb="13">
      <t>キカン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</si>
</sst>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9" formatCode="0_ "/>
    <numFmt numFmtId="186" formatCode="0.0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center" shrinkToFit="1"/>
    </xf>
    <xf numFmtId="177" fontId="2" fillId="0" borderId="1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left" vertical="top"/>
    </xf>
    <xf numFmtId="177" fontId="2" fillId="0" borderId="0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77" fontId="2" fillId="0" borderId="3" xfId="0" applyNumberFormat="1" applyFont="1" applyFill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12" fillId="0" borderId="7" xfId="1" applyFont="1" applyBorder="1">
      <alignment vertical="center"/>
    </xf>
    <xf numFmtId="186" fontId="12" fillId="2" borderId="2" xfId="0" applyNumberFormat="1" applyFon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11" fillId="0" borderId="1" xfId="0" applyFont="1" applyBorder="1" applyAlignment="1">
      <alignment vertical="center" wrapText="1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vertical="center" wrapText="1"/>
    </xf>
    <xf numFmtId="0" fontId="11" fillId="0" borderId="1" xfId="0" applyNumberFormat="1" applyFont="1" applyBorder="1">
      <alignment vertical="center"/>
    </xf>
    <xf numFmtId="179" fontId="0" fillId="0" borderId="1" xfId="0" applyNumberFormat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 shrinkToFit="1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vertical="top" shrinkToFit="1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top" shrinkToFi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76" fontId="2" fillId="0" borderId="6" xfId="0" applyNumberFormat="1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5" xfId="0" applyFont="1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176" fontId="2" fillId="0" borderId="7" xfId="0" applyNumberFormat="1" applyFont="1" applyFill="1" applyBorder="1" applyAlignment="1" applyProtection="1">
      <alignment vertical="center" shrinkToFit="1"/>
      <protection locked="0"/>
    </xf>
    <xf numFmtId="176" fontId="2" fillId="0" borderId="9" xfId="0" applyNumberFormat="1" applyFont="1" applyFill="1" applyBorder="1" applyAlignment="1" applyProtection="1">
      <alignment vertical="center" shrinkToFit="1"/>
      <protection locked="0"/>
    </xf>
    <xf numFmtId="176" fontId="2" fillId="0" borderId="1" xfId="0" applyNumberFormat="1" applyFont="1" applyFill="1" applyBorder="1" applyAlignment="1" applyProtection="1">
      <alignment vertical="center" shrinkToFit="1"/>
      <protection locked="0"/>
    </xf>
    <xf numFmtId="176" fontId="2" fillId="0" borderId="2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left" vertical="center" indent="1"/>
      <protection locked="0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8" xfId="0" applyFont="1" applyFill="1" applyBorder="1" applyAlignment="1">
      <alignment vertical="center" textRotation="255"/>
    </xf>
    <xf numFmtId="0" fontId="2" fillId="0" borderId="4" xfId="0" applyFont="1" applyFill="1" applyBorder="1" applyAlignment="1">
      <alignment vertical="center" textRotation="255"/>
    </xf>
    <xf numFmtId="0" fontId="0" fillId="0" borderId="9" xfId="0" applyFill="1" applyBorder="1" applyAlignment="1">
      <alignment vertical="center" textRotation="255"/>
    </xf>
    <xf numFmtId="0" fontId="2" fillId="0" borderId="2" xfId="0" applyFont="1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" xfId="0" applyFont="1" applyFill="1" applyBorder="1" applyAlignment="1">
      <alignment vertical="center" textRotation="255"/>
    </xf>
    <xf numFmtId="0" fontId="0" fillId="0" borderId="1" xfId="0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6"/>
  <sheetViews>
    <sheetView tabSelected="1" view="pageBreakPreview" zoomScale="80" zoomScaleNormal="100" zoomScaleSheetLayoutView="80" workbookViewId="0">
      <selection activeCell="E8" sqref="E8"/>
    </sheetView>
  </sheetViews>
  <sheetFormatPr defaultRowHeight="13.5" x14ac:dyDescent="0.15"/>
  <cols>
    <col min="1" max="1" width="3" style="5" customWidth="1"/>
    <col min="2" max="3" width="4.125" style="5" customWidth="1"/>
    <col min="4" max="4" width="20.625" style="5" customWidth="1"/>
    <col min="5" max="5" width="10.625" style="5" customWidth="1"/>
    <col min="6" max="6" width="4.625" style="5" customWidth="1"/>
    <col min="7" max="7" width="10.625" style="5" customWidth="1"/>
    <col min="8" max="8" width="4.625" style="5" customWidth="1"/>
    <col min="9" max="9" width="10.625" style="5" customWidth="1"/>
    <col min="10" max="10" width="4.625" style="5" customWidth="1"/>
    <col min="11" max="11" width="13.75" style="5" customWidth="1"/>
    <col min="12" max="12" width="10.625" style="5" customWidth="1"/>
    <col min="13" max="13" width="5.625" style="1" customWidth="1"/>
    <col min="14" max="14" width="10.625" style="5" customWidth="1"/>
    <col min="15" max="15" width="2.875" style="5" customWidth="1"/>
    <col min="16" max="16" width="10.625" style="5" customWidth="1"/>
    <col min="17" max="17" width="18" style="5" customWidth="1"/>
    <col min="18" max="16384" width="9" style="5"/>
  </cols>
  <sheetData>
    <row r="1" spans="2:17" ht="15" customHeight="1" x14ac:dyDescent="0.15">
      <c r="B1" s="5" t="s">
        <v>47</v>
      </c>
    </row>
    <row r="2" spans="2:17" ht="18.75" customHeight="1" x14ac:dyDescent="0.15">
      <c r="B2" s="64" t="s">
        <v>22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15" customHeight="1" x14ac:dyDescent="0.15"/>
    <row r="4" spans="2:17" ht="15" customHeight="1" x14ac:dyDescent="0.15">
      <c r="B4" s="58" t="s">
        <v>20</v>
      </c>
      <c r="C4" s="58"/>
      <c r="D4" s="58"/>
      <c r="E4" s="66"/>
      <c r="F4" s="67"/>
      <c r="G4" s="67"/>
      <c r="H4" s="59" t="s">
        <v>21</v>
      </c>
      <c r="I4" s="1"/>
      <c r="J4" s="6"/>
    </row>
    <row r="5" spans="2:17" ht="15" customHeight="1" x14ac:dyDescent="0.15"/>
    <row r="6" spans="2:17" ht="15" customHeight="1" x14ac:dyDescent="0.15">
      <c r="B6" s="68" t="s">
        <v>11</v>
      </c>
      <c r="C6" s="69"/>
      <c r="D6" s="70"/>
      <c r="E6" s="74" t="s">
        <v>0</v>
      </c>
      <c r="F6" s="75"/>
      <c r="G6" s="74" t="s">
        <v>1</v>
      </c>
      <c r="H6" s="75"/>
      <c r="I6" s="74" t="s">
        <v>2</v>
      </c>
      <c r="J6" s="75"/>
      <c r="K6" s="76" t="s">
        <v>3</v>
      </c>
      <c r="L6" s="77"/>
      <c r="M6" s="7"/>
      <c r="N6" s="80" t="s">
        <v>14</v>
      </c>
      <c r="O6" s="21"/>
      <c r="P6" s="82" t="s">
        <v>58</v>
      </c>
    </row>
    <row r="7" spans="2:17" ht="27.95" customHeight="1" x14ac:dyDescent="0.15">
      <c r="B7" s="71"/>
      <c r="C7" s="72"/>
      <c r="D7" s="73"/>
      <c r="E7" s="84"/>
      <c r="F7" s="84"/>
      <c r="G7" s="84"/>
      <c r="H7" s="84"/>
      <c r="I7" s="84"/>
      <c r="J7" s="84"/>
      <c r="K7" s="78"/>
      <c r="L7" s="79"/>
      <c r="N7" s="81"/>
      <c r="O7" s="22"/>
      <c r="P7" s="83"/>
    </row>
    <row r="8" spans="2:17" ht="27.95" customHeight="1" x14ac:dyDescent="0.15">
      <c r="B8" s="85" t="s">
        <v>7</v>
      </c>
      <c r="C8" s="88" t="s">
        <v>28</v>
      </c>
      <c r="D8" s="89"/>
      <c r="E8" s="60"/>
      <c r="F8" s="46" t="s">
        <v>6</v>
      </c>
      <c r="G8" s="60"/>
      <c r="H8" s="46" t="s">
        <v>6</v>
      </c>
      <c r="I8" s="60"/>
      <c r="J8" s="46" t="s">
        <v>6</v>
      </c>
      <c r="K8" s="47" t="s">
        <v>8</v>
      </c>
      <c r="L8" s="61"/>
      <c r="M8" s="9"/>
      <c r="N8" s="13">
        <f>ROUNDDOWN(評点計算テーブル!E3,0)</f>
        <v>397</v>
      </c>
      <c r="O8" s="23"/>
      <c r="P8" s="38"/>
      <c r="Q8" s="5" t="s">
        <v>19</v>
      </c>
    </row>
    <row r="9" spans="2:17" ht="27.95" customHeight="1" x14ac:dyDescent="0.15">
      <c r="B9" s="86"/>
      <c r="C9" s="90" t="s">
        <v>4</v>
      </c>
      <c r="D9" s="90"/>
      <c r="E9" s="60"/>
      <c r="F9" s="46" t="s">
        <v>6</v>
      </c>
      <c r="G9" s="60"/>
      <c r="H9" s="46" t="s">
        <v>6</v>
      </c>
      <c r="I9" s="60"/>
      <c r="J9" s="46" t="s">
        <v>6</v>
      </c>
      <c r="K9" s="47" t="s">
        <v>8</v>
      </c>
      <c r="L9" s="61"/>
      <c r="N9" s="13">
        <f>ROUNDDOWN(評点計算テーブル!J3,0)</f>
        <v>361</v>
      </c>
      <c r="O9" s="23"/>
      <c r="P9" s="38"/>
      <c r="Q9" s="5" t="s">
        <v>15</v>
      </c>
    </row>
    <row r="10" spans="2:17" ht="27.95" customHeight="1" x14ac:dyDescent="0.15">
      <c r="B10" s="86"/>
      <c r="C10" s="90" t="s">
        <v>5</v>
      </c>
      <c r="D10" s="90"/>
      <c r="E10" s="60"/>
      <c r="F10" s="46" t="s">
        <v>6</v>
      </c>
      <c r="G10" s="60"/>
      <c r="H10" s="46" t="s">
        <v>6</v>
      </c>
      <c r="I10" s="60"/>
      <c r="J10" s="46" t="s">
        <v>6</v>
      </c>
      <c r="K10" s="47" t="s">
        <v>8</v>
      </c>
      <c r="L10" s="61"/>
      <c r="N10" s="13">
        <f>ROUNDDOWN(評点計算テーブル!O3,0)</f>
        <v>547</v>
      </c>
      <c r="O10" s="23"/>
      <c r="P10" s="38"/>
      <c r="Q10" s="5" t="s">
        <v>16</v>
      </c>
    </row>
    <row r="11" spans="2:17" s="1" customFormat="1" ht="27.95" customHeight="1" x14ac:dyDescent="0.15">
      <c r="B11" s="87"/>
      <c r="C11" s="3"/>
      <c r="D11" s="3"/>
      <c r="E11" s="48"/>
      <c r="F11" s="43"/>
      <c r="G11" s="48"/>
      <c r="H11" s="43"/>
      <c r="I11" s="48"/>
      <c r="J11" s="43"/>
      <c r="K11" s="44"/>
      <c r="L11" s="49"/>
      <c r="N11" s="13">
        <f>ROUNDDOWN((N9+N10)/2,0)</f>
        <v>454</v>
      </c>
      <c r="O11" s="23"/>
      <c r="P11" s="38"/>
      <c r="Q11" s="5" t="s">
        <v>26</v>
      </c>
    </row>
    <row r="12" spans="2:17" ht="27.95" customHeight="1" x14ac:dyDescent="0.15">
      <c r="B12" s="91" t="s">
        <v>9</v>
      </c>
      <c r="C12" s="92"/>
      <c r="D12" s="92"/>
      <c r="E12" s="60"/>
      <c r="F12" s="50" t="s">
        <v>10</v>
      </c>
      <c r="G12" s="60"/>
      <c r="H12" s="46" t="s">
        <v>10</v>
      </c>
      <c r="I12" s="60"/>
      <c r="J12" s="46" t="s">
        <v>10</v>
      </c>
      <c r="K12" s="51" t="s">
        <v>25</v>
      </c>
      <c r="L12" s="62"/>
      <c r="M12" s="10"/>
      <c r="N12" s="13">
        <f>L12</f>
        <v>0</v>
      </c>
      <c r="O12" s="23"/>
      <c r="P12" s="35"/>
      <c r="Q12" s="5" t="s">
        <v>17</v>
      </c>
    </row>
    <row r="13" spans="2:17" ht="27.95" customHeight="1" x14ac:dyDescent="0.15">
      <c r="B13" s="85" t="s">
        <v>30</v>
      </c>
      <c r="C13" s="93" t="s">
        <v>27</v>
      </c>
      <c r="D13" s="8" t="s">
        <v>31</v>
      </c>
      <c r="E13" s="60"/>
      <c r="F13" s="46" t="s">
        <v>12</v>
      </c>
      <c r="G13" s="60"/>
      <c r="H13" s="46" t="s">
        <v>12</v>
      </c>
      <c r="I13" s="60"/>
      <c r="J13" s="46" t="s">
        <v>12</v>
      </c>
      <c r="K13" s="51" t="s">
        <v>38</v>
      </c>
      <c r="L13" s="62"/>
      <c r="M13" s="19"/>
      <c r="N13" s="37" t="s">
        <v>57</v>
      </c>
      <c r="O13" s="23"/>
      <c r="P13" s="36" t="s">
        <v>56</v>
      </c>
    </row>
    <row r="14" spans="2:17" ht="27.95" customHeight="1" x14ac:dyDescent="0.15">
      <c r="B14" s="86"/>
      <c r="C14" s="93"/>
      <c r="D14" s="12" t="s">
        <v>33</v>
      </c>
      <c r="E14" s="60"/>
      <c r="F14" s="46" t="s">
        <v>12</v>
      </c>
      <c r="G14" s="60"/>
      <c r="H14" s="46" t="s">
        <v>12</v>
      </c>
      <c r="I14" s="60"/>
      <c r="J14" s="46" t="s">
        <v>12</v>
      </c>
      <c r="K14" s="51" t="s">
        <v>39</v>
      </c>
      <c r="L14" s="62"/>
      <c r="M14" s="19"/>
      <c r="N14" s="37" t="s">
        <v>57</v>
      </c>
      <c r="O14" s="23"/>
      <c r="P14" s="36" t="s">
        <v>56</v>
      </c>
    </row>
    <row r="15" spans="2:17" ht="27.95" customHeight="1" x14ac:dyDescent="0.15">
      <c r="B15" s="86"/>
      <c r="C15" s="93"/>
      <c r="D15" s="14" t="s">
        <v>32</v>
      </c>
      <c r="E15" s="60"/>
      <c r="F15" s="46" t="s">
        <v>12</v>
      </c>
      <c r="G15" s="60"/>
      <c r="H15" s="46" t="s">
        <v>12</v>
      </c>
      <c r="I15" s="60"/>
      <c r="J15" s="46" t="s">
        <v>12</v>
      </c>
      <c r="K15" s="51" t="s">
        <v>40</v>
      </c>
      <c r="L15" s="62"/>
      <c r="M15" s="19"/>
      <c r="N15" s="37" t="s">
        <v>57</v>
      </c>
      <c r="O15" s="23"/>
      <c r="P15" s="36" t="s">
        <v>56</v>
      </c>
    </row>
    <row r="16" spans="2:17" ht="27.95" customHeight="1" x14ac:dyDescent="0.15">
      <c r="B16" s="86"/>
      <c r="C16" s="93"/>
      <c r="D16" s="14" t="s">
        <v>45</v>
      </c>
      <c r="E16" s="60"/>
      <c r="F16" s="46" t="s">
        <v>12</v>
      </c>
      <c r="G16" s="60"/>
      <c r="H16" s="46" t="s">
        <v>12</v>
      </c>
      <c r="I16" s="60"/>
      <c r="J16" s="46" t="s">
        <v>12</v>
      </c>
      <c r="K16" s="51" t="s">
        <v>41</v>
      </c>
      <c r="L16" s="62"/>
      <c r="M16" s="11"/>
      <c r="N16" s="37" t="s">
        <v>57</v>
      </c>
      <c r="O16" s="23"/>
      <c r="P16" s="36" t="s">
        <v>56</v>
      </c>
    </row>
    <row r="17" spans="1:17" ht="27.95" customHeight="1" x14ac:dyDescent="0.15">
      <c r="B17" s="86"/>
      <c r="C17" s="93"/>
      <c r="D17" s="8" t="s">
        <v>46</v>
      </c>
      <c r="E17" s="60"/>
      <c r="F17" s="46" t="s">
        <v>12</v>
      </c>
      <c r="G17" s="60"/>
      <c r="H17" s="46" t="s">
        <v>12</v>
      </c>
      <c r="I17" s="60"/>
      <c r="J17" s="46" t="s">
        <v>12</v>
      </c>
      <c r="K17" s="51" t="s">
        <v>42</v>
      </c>
      <c r="L17" s="62"/>
      <c r="M17" s="11"/>
      <c r="N17" s="37" t="s">
        <v>57</v>
      </c>
      <c r="O17" s="23"/>
      <c r="P17" s="36" t="s">
        <v>56</v>
      </c>
      <c r="Q17" s="15"/>
    </row>
    <row r="18" spans="1:17" ht="27.95" customHeight="1" x14ac:dyDescent="0.15">
      <c r="B18" s="86"/>
      <c r="C18" s="94"/>
      <c r="D18" s="4" t="s">
        <v>36</v>
      </c>
      <c r="E18" s="48"/>
      <c r="F18" s="43"/>
      <c r="G18" s="48"/>
      <c r="H18" s="43"/>
      <c r="I18" s="52"/>
      <c r="J18" s="50"/>
      <c r="K18" s="47" t="s">
        <v>37</v>
      </c>
      <c r="L18" s="63"/>
      <c r="M18" s="16"/>
      <c r="N18" s="13">
        <f>ROUNDDOWN(評点計算テーブル!T3,0)</f>
        <v>510</v>
      </c>
      <c r="O18" s="23"/>
      <c r="P18" s="35"/>
      <c r="Q18" s="15" t="s">
        <v>43</v>
      </c>
    </row>
    <row r="19" spans="1:17" ht="27.95" customHeight="1" x14ac:dyDescent="0.15">
      <c r="B19" s="86"/>
      <c r="C19" s="95" t="s">
        <v>29</v>
      </c>
      <c r="D19" s="96"/>
      <c r="E19" s="60"/>
      <c r="F19" s="50" t="s">
        <v>6</v>
      </c>
      <c r="G19" s="60"/>
      <c r="H19" s="46" t="s">
        <v>6</v>
      </c>
      <c r="I19" s="60"/>
      <c r="J19" s="46" t="s">
        <v>6</v>
      </c>
      <c r="K19" s="47" t="s">
        <v>8</v>
      </c>
      <c r="L19" s="63"/>
      <c r="M19" s="9"/>
      <c r="N19" s="13">
        <f>ROUNDDOWN(評点計算テーブル!Y3,0)</f>
        <v>241</v>
      </c>
      <c r="O19" s="23"/>
      <c r="P19" s="38"/>
      <c r="Q19" s="5" t="s">
        <v>34</v>
      </c>
    </row>
    <row r="20" spans="1:17" ht="27.95" customHeight="1" x14ac:dyDescent="0.15">
      <c r="B20" s="87"/>
      <c r="C20" s="97"/>
      <c r="D20" s="98"/>
      <c r="E20" s="53"/>
      <c r="F20" s="54"/>
      <c r="G20" s="55"/>
      <c r="H20" s="54"/>
      <c r="I20" s="55"/>
      <c r="J20" s="54"/>
      <c r="K20" s="56"/>
      <c r="L20" s="57"/>
      <c r="N20" s="13">
        <f>ROUNDDOWN(N18*0.8+N19*0.2,0)</f>
        <v>456</v>
      </c>
      <c r="O20" s="23"/>
      <c r="P20" s="38"/>
      <c r="Q20" s="5" t="s">
        <v>35</v>
      </c>
    </row>
    <row r="21" spans="1:17" ht="27.95" customHeight="1" x14ac:dyDescent="0.15">
      <c r="B21" s="99" t="s">
        <v>13</v>
      </c>
      <c r="C21" s="100"/>
      <c r="D21" s="101"/>
      <c r="E21" s="60"/>
      <c r="F21" s="46" t="s">
        <v>10</v>
      </c>
      <c r="G21" s="60"/>
      <c r="H21" s="46" t="s">
        <v>10</v>
      </c>
      <c r="I21" s="60"/>
      <c r="J21" s="46" t="s">
        <v>10</v>
      </c>
      <c r="K21" s="51" t="s">
        <v>25</v>
      </c>
      <c r="L21" s="63"/>
      <c r="M21" s="9"/>
      <c r="N21" s="13">
        <f>L21</f>
        <v>0</v>
      </c>
      <c r="O21" s="23"/>
      <c r="P21" s="38"/>
      <c r="Q21" s="5" t="s">
        <v>18</v>
      </c>
    </row>
    <row r="22" spans="1:17" x14ac:dyDescent="0.15">
      <c r="K22" s="17"/>
      <c r="N22" s="18"/>
      <c r="O22" s="20"/>
      <c r="P22" s="18"/>
    </row>
    <row r="23" spans="1:17" x14ac:dyDescent="0.15">
      <c r="B23" s="5" t="s">
        <v>59</v>
      </c>
      <c r="N23" s="18"/>
      <c r="O23" s="20"/>
      <c r="P23" s="18"/>
    </row>
    <row r="24" spans="1:17" x14ac:dyDescent="0.15">
      <c r="B24" s="5" t="s">
        <v>48</v>
      </c>
      <c r="N24" s="18"/>
      <c r="O24" s="20"/>
      <c r="P24" s="18"/>
    </row>
    <row r="25" spans="1:17" x14ac:dyDescent="0.15">
      <c r="B25" s="5" t="s">
        <v>49</v>
      </c>
      <c r="N25" s="18"/>
      <c r="O25" s="20"/>
      <c r="P25" s="18"/>
    </row>
    <row r="26" spans="1:17" s="1" customFormat="1" ht="27.95" customHeight="1" x14ac:dyDescent="0.15">
      <c r="A26" s="40"/>
      <c r="B26" s="41"/>
      <c r="C26" s="42"/>
      <c r="D26" s="42"/>
      <c r="E26" s="40"/>
      <c r="F26" s="43"/>
      <c r="G26" s="40"/>
      <c r="H26" s="43"/>
      <c r="I26" s="40"/>
      <c r="J26" s="43"/>
      <c r="K26" s="44"/>
      <c r="L26" s="45" t="s">
        <v>44</v>
      </c>
      <c r="M26" s="2" t="s">
        <v>23</v>
      </c>
      <c r="N26" s="13">
        <f>ROUND(N8*0.25+N11*0.15+N12*0.2+N20*0.25+N21*0.15,0)</f>
        <v>281</v>
      </c>
      <c r="O26" s="23"/>
      <c r="P26" s="39"/>
      <c r="Q26" s="1" t="s">
        <v>24</v>
      </c>
    </row>
  </sheetData>
  <sheetProtection password="829B" sheet="1" formatCells="0" selectLockedCells="1"/>
  <mergeCells count="22">
    <mergeCell ref="B12:D12"/>
    <mergeCell ref="B13:B20"/>
    <mergeCell ref="C13:C18"/>
    <mergeCell ref="C19:D19"/>
    <mergeCell ref="C20:D20"/>
    <mergeCell ref="B21:D21"/>
    <mergeCell ref="G7:H7"/>
    <mergeCell ref="I7:J7"/>
    <mergeCell ref="B8:B11"/>
    <mergeCell ref="C8:D8"/>
    <mergeCell ref="C9:D9"/>
    <mergeCell ref="C10:D10"/>
    <mergeCell ref="B2:Q2"/>
    <mergeCell ref="E4:G4"/>
    <mergeCell ref="B6:D7"/>
    <mergeCell ref="E6:F6"/>
    <mergeCell ref="G6:H6"/>
    <mergeCell ref="I6:J6"/>
    <mergeCell ref="K6:L7"/>
    <mergeCell ref="N6:N7"/>
    <mergeCell ref="P6:P7"/>
    <mergeCell ref="E7:F7"/>
  </mergeCells>
  <phoneticPr fontId="1"/>
  <printOptions horizontalCentered="1"/>
  <pageMargins left="0.59055118110236227" right="0.59055118110236227" top="0.59055118110236227" bottom="0.39370078740157483" header="0.59055118110236227" footer="0.39370078740157483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9"/>
  <sheetViews>
    <sheetView view="pageBreakPreview" zoomScale="80" zoomScaleNormal="100" zoomScaleSheetLayoutView="80" workbookViewId="0">
      <selection activeCell="D40" sqref="D40"/>
    </sheetView>
  </sheetViews>
  <sheetFormatPr defaultRowHeight="13.5" x14ac:dyDescent="0.15"/>
  <cols>
    <col min="1" max="1" width="5.25" customWidth="1"/>
    <col min="2" max="2" width="13" style="24" customWidth="1"/>
    <col min="3" max="3" width="14" style="24" customWidth="1"/>
    <col min="4" max="4" width="12.75" style="29" customWidth="1"/>
    <col min="5" max="5" width="10.5" bestFit="1" customWidth="1"/>
    <col min="7" max="7" width="13" style="24" customWidth="1"/>
    <col min="8" max="8" width="14" style="24" customWidth="1"/>
    <col min="9" max="9" width="12.75" style="29" customWidth="1"/>
    <col min="10" max="10" width="10.5" bestFit="1" customWidth="1"/>
    <col min="12" max="12" width="13" style="24" customWidth="1"/>
    <col min="13" max="13" width="14" style="24" customWidth="1"/>
    <col min="14" max="14" width="12.75" style="29" customWidth="1"/>
    <col min="15" max="15" width="10.5" bestFit="1" customWidth="1"/>
    <col min="17" max="17" width="13" style="24" customWidth="1"/>
    <col min="18" max="18" width="14" style="24" customWidth="1"/>
    <col min="19" max="19" width="12.75" style="29" customWidth="1"/>
    <col min="20" max="20" width="10.5" bestFit="1" customWidth="1"/>
    <col min="22" max="22" width="13" style="24" customWidth="1"/>
    <col min="23" max="23" width="14" style="24" customWidth="1"/>
    <col min="24" max="24" width="12.75" style="29" customWidth="1"/>
    <col min="25" max="25" width="10.5" bestFit="1" customWidth="1"/>
  </cols>
  <sheetData>
    <row r="1" spans="2:25" ht="21" customHeight="1" x14ac:dyDescent="0.15">
      <c r="B1" s="102" t="s">
        <v>50</v>
      </c>
      <c r="C1" s="102"/>
      <c r="D1" s="102"/>
      <c r="E1" s="102"/>
      <c r="G1" s="102" t="s">
        <v>15</v>
      </c>
      <c r="H1" s="102"/>
      <c r="I1" s="102"/>
      <c r="J1" s="102"/>
      <c r="L1" s="102" t="s">
        <v>55</v>
      </c>
      <c r="M1" s="102"/>
      <c r="N1" s="102"/>
      <c r="O1" s="102"/>
      <c r="Q1" s="102" t="s">
        <v>43</v>
      </c>
      <c r="R1" s="102"/>
      <c r="S1" s="102"/>
      <c r="T1" s="102"/>
      <c r="V1" s="102" t="s">
        <v>34</v>
      </c>
      <c r="W1" s="102"/>
      <c r="X1" s="102"/>
      <c r="Y1" s="102"/>
    </row>
    <row r="2" spans="2:25" ht="29.25" customHeight="1" x14ac:dyDescent="0.15">
      <c r="B2" s="31" t="s">
        <v>51</v>
      </c>
      <c r="C2" s="32" t="s">
        <v>53</v>
      </c>
      <c r="D2" s="33" t="s">
        <v>52</v>
      </c>
      <c r="E2" s="30" t="s">
        <v>54</v>
      </c>
      <c r="G2" s="31" t="s">
        <v>51</v>
      </c>
      <c r="H2" s="32" t="s">
        <v>53</v>
      </c>
      <c r="I2" s="33" t="s">
        <v>52</v>
      </c>
      <c r="J2" s="30" t="s">
        <v>54</v>
      </c>
      <c r="L2" s="31" t="s">
        <v>51</v>
      </c>
      <c r="M2" s="32" t="s">
        <v>53</v>
      </c>
      <c r="N2" s="33" t="s">
        <v>52</v>
      </c>
      <c r="O2" s="30" t="s">
        <v>54</v>
      </c>
      <c r="Q2" s="31" t="s">
        <v>51</v>
      </c>
      <c r="R2" s="32" t="s">
        <v>53</v>
      </c>
      <c r="S2" s="33" t="s">
        <v>52</v>
      </c>
      <c r="T2" s="30" t="s">
        <v>54</v>
      </c>
      <c r="V2" s="31" t="s">
        <v>51</v>
      </c>
      <c r="W2" s="32" t="s">
        <v>53</v>
      </c>
      <c r="X2" s="33" t="s">
        <v>52</v>
      </c>
      <c r="Y2" s="30" t="s">
        <v>54</v>
      </c>
    </row>
    <row r="3" spans="2:25" x14ac:dyDescent="0.15">
      <c r="B3" s="26">
        <f>様式第２号!L8</f>
        <v>0</v>
      </c>
      <c r="C3" s="25">
        <v>0</v>
      </c>
      <c r="D3" s="28">
        <f>131*B3/10000+397</f>
        <v>397</v>
      </c>
      <c r="E3" s="27">
        <f>VLOOKUP(B3,C:D,2,1)</f>
        <v>397</v>
      </c>
      <c r="G3" s="26">
        <f>様式第２号!L9</f>
        <v>0</v>
      </c>
      <c r="H3" s="25">
        <v>0</v>
      </c>
      <c r="I3" s="28">
        <f>223*G3/10000+361</f>
        <v>361</v>
      </c>
      <c r="J3" s="27">
        <f>VLOOKUP(G3,H:I,2,1)</f>
        <v>361</v>
      </c>
      <c r="L3" s="26">
        <f>様式第２号!L10</f>
        <v>0</v>
      </c>
      <c r="M3" s="25">
        <v>0</v>
      </c>
      <c r="N3" s="28">
        <f>78*L3/10000+547</f>
        <v>547</v>
      </c>
      <c r="O3" s="27">
        <f>VLOOKUP(L3,M:N,2,1)</f>
        <v>547</v>
      </c>
      <c r="Q3" s="26">
        <f>様式第２号!L18</f>
        <v>0</v>
      </c>
      <c r="R3" s="25">
        <v>0</v>
      </c>
      <c r="S3" s="28">
        <f>62*Q3/5+510</f>
        <v>510</v>
      </c>
      <c r="T3" s="27">
        <f>VLOOKUP(Q3,R:S,2,1)</f>
        <v>510</v>
      </c>
      <c r="V3" s="26">
        <f>様式第２号!L19</f>
        <v>0</v>
      </c>
      <c r="W3" s="25">
        <v>0</v>
      </c>
      <c r="X3" s="28">
        <f>341*V3/10000+241</f>
        <v>241</v>
      </c>
      <c r="Y3" s="27">
        <f>VLOOKUP(V3,W:X,2,1)</f>
        <v>241</v>
      </c>
    </row>
    <row r="4" spans="2:25" x14ac:dyDescent="0.15">
      <c r="C4" s="25">
        <v>10000</v>
      </c>
      <c r="D4" s="28">
        <f>11*B3/2000+473</f>
        <v>473</v>
      </c>
      <c r="H4" s="25">
        <v>10000</v>
      </c>
      <c r="I4" s="28">
        <f>8*G3/2000+544</f>
        <v>544</v>
      </c>
      <c r="M4" s="25">
        <v>10000</v>
      </c>
      <c r="N4" s="28">
        <f>6*L3/2000+595</f>
        <v>595</v>
      </c>
      <c r="R4" s="25">
        <v>5</v>
      </c>
      <c r="S4" s="28">
        <f>63*Q3/5+509</f>
        <v>509</v>
      </c>
      <c r="W4" s="25">
        <v>10000</v>
      </c>
      <c r="X4" s="28">
        <f>16*V3/2000+502</f>
        <v>502</v>
      </c>
    </row>
    <row r="5" spans="2:25" x14ac:dyDescent="0.15">
      <c r="C5" s="25">
        <v>12000</v>
      </c>
      <c r="D5" s="28">
        <f>14*B3/3000+483</f>
        <v>483</v>
      </c>
      <c r="H5" s="25">
        <v>12000</v>
      </c>
      <c r="I5" s="28">
        <f>11*G3/3000+548</f>
        <v>548</v>
      </c>
      <c r="M5" s="25">
        <v>12000</v>
      </c>
      <c r="N5" s="28">
        <f>7*L3/3000+603</f>
        <v>603</v>
      </c>
      <c r="R5" s="25">
        <v>10</v>
      </c>
      <c r="S5" s="28">
        <f>62*Q3/5+511</f>
        <v>511</v>
      </c>
      <c r="W5" s="25">
        <v>12000</v>
      </c>
      <c r="X5" s="28">
        <f>19*V3/3000+522</f>
        <v>522</v>
      </c>
    </row>
    <row r="6" spans="2:25" x14ac:dyDescent="0.15">
      <c r="C6" s="25">
        <v>15000</v>
      </c>
      <c r="D6" s="28">
        <f>20*B3/5000+493</f>
        <v>493</v>
      </c>
      <c r="H6" s="25">
        <v>15000</v>
      </c>
      <c r="I6" s="28">
        <f>14*G3/5000+561</f>
        <v>561</v>
      </c>
      <c r="M6" s="25">
        <v>15000</v>
      </c>
      <c r="N6" s="28">
        <f>11*L3/5000+605</f>
        <v>605</v>
      </c>
      <c r="R6" s="25">
        <v>15</v>
      </c>
      <c r="S6" s="28">
        <f>63*Q3/5+508</f>
        <v>508</v>
      </c>
      <c r="W6" s="25">
        <v>15000</v>
      </c>
      <c r="X6" s="28">
        <f>28*V3/5000+533</f>
        <v>533</v>
      </c>
    </row>
    <row r="7" spans="2:25" x14ac:dyDescent="0.15">
      <c r="C7" s="25">
        <v>20000</v>
      </c>
      <c r="D7" s="28">
        <f>16*B3/5000+509</f>
        <v>509</v>
      </c>
      <c r="H7" s="25">
        <v>20000</v>
      </c>
      <c r="I7" s="28">
        <f>12*G3/5000+569</f>
        <v>569</v>
      </c>
      <c r="M7" s="25">
        <v>20000</v>
      </c>
      <c r="N7" s="28">
        <f>10*L3/5000+609</f>
        <v>609</v>
      </c>
      <c r="R7" s="25">
        <v>20</v>
      </c>
      <c r="S7" s="28">
        <f>62*Q3/10+636</f>
        <v>636</v>
      </c>
      <c r="W7" s="25">
        <v>20000</v>
      </c>
      <c r="X7" s="28">
        <f>23*V3/5000+553</f>
        <v>553</v>
      </c>
    </row>
    <row r="8" spans="2:25" x14ac:dyDescent="0.15">
      <c r="C8" s="25">
        <v>25000</v>
      </c>
      <c r="D8" s="28">
        <f>13*B3/5000+524</f>
        <v>524</v>
      </c>
      <c r="H8" s="25">
        <v>25000</v>
      </c>
      <c r="I8" s="28">
        <f>10*G3/5000+579</f>
        <v>579</v>
      </c>
      <c r="M8" s="25">
        <v>25000</v>
      </c>
      <c r="N8" s="28">
        <f>8*L3/5000+619</f>
        <v>619</v>
      </c>
      <c r="R8" s="25">
        <v>30</v>
      </c>
      <c r="S8" s="28">
        <f>63*Q3/10+633</f>
        <v>633</v>
      </c>
      <c r="W8" s="25">
        <v>25000</v>
      </c>
      <c r="X8" s="28">
        <f>19*V3/5000+573</f>
        <v>573</v>
      </c>
    </row>
    <row r="9" spans="2:25" x14ac:dyDescent="0.15">
      <c r="C9" s="25">
        <v>30000</v>
      </c>
      <c r="D9" s="28">
        <f>24*B3/10000+530</f>
        <v>530</v>
      </c>
      <c r="H9" s="25">
        <v>30000</v>
      </c>
      <c r="I9" s="28">
        <f>16*G3/10000+591</f>
        <v>591</v>
      </c>
      <c r="M9" s="25">
        <v>30000</v>
      </c>
      <c r="N9" s="28">
        <f>15*L3/10000+622</f>
        <v>622</v>
      </c>
      <c r="R9" s="25">
        <v>40</v>
      </c>
      <c r="S9" s="28">
        <f>63*Q3/10+633</f>
        <v>633</v>
      </c>
      <c r="W9" s="25">
        <v>30000</v>
      </c>
      <c r="X9" s="28">
        <f>31*V3/10000+594</f>
        <v>594</v>
      </c>
    </row>
    <row r="10" spans="2:25" x14ac:dyDescent="0.15">
      <c r="C10" s="25">
        <v>40000</v>
      </c>
      <c r="D10" s="28">
        <f>19*B3/10000+550</f>
        <v>550</v>
      </c>
      <c r="H10" s="25">
        <v>40000</v>
      </c>
      <c r="I10" s="28">
        <f>14*G3/10000+599</f>
        <v>599</v>
      </c>
      <c r="M10" s="25">
        <v>40000</v>
      </c>
      <c r="N10" s="28">
        <f>12*L3/10000+634</f>
        <v>634</v>
      </c>
      <c r="R10" s="25">
        <v>50</v>
      </c>
      <c r="S10" s="28">
        <f>62*Q3/15+742</f>
        <v>742</v>
      </c>
      <c r="W10" s="25">
        <v>40000</v>
      </c>
      <c r="X10" s="28">
        <f>27*V3/10000+610</f>
        <v>610</v>
      </c>
    </row>
    <row r="11" spans="2:25" x14ac:dyDescent="0.15">
      <c r="C11" s="25">
        <v>50000</v>
      </c>
      <c r="D11" s="28">
        <f>16*B3/10000+565</f>
        <v>565</v>
      </c>
      <c r="H11" s="25">
        <v>50000</v>
      </c>
      <c r="I11" s="28">
        <f>11*G3/10000+614</f>
        <v>614</v>
      </c>
      <c r="M11" s="25">
        <v>50000</v>
      </c>
      <c r="N11" s="28">
        <f>12*L3/10000+634</f>
        <v>634</v>
      </c>
      <c r="R11" s="25">
        <v>65</v>
      </c>
      <c r="S11" s="28">
        <f>62*Q3/20+810</f>
        <v>810</v>
      </c>
      <c r="W11" s="25">
        <v>50000</v>
      </c>
      <c r="X11" s="28">
        <f>22*V3/10000+635</f>
        <v>635</v>
      </c>
    </row>
    <row r="12" spans="2:25" x14ac:dyDescent="0.15">
      <c r="C12" s="25">
        <v>60000</v>
      </c>
      <c r="D12" s="28">
        <f>28*B3/20000+577</f>
        <v>577</v>
      </c>
      <c r="H12" s="25">
        <v>60000</v>
      </c>
      <c r="I12" s="28">
        <f>19*G3/20000+623</f>
        <v>623</v>
      </c>
      <c r="M12" s="25">
        <v>60000</v>
      </c>
      <c r="N12" s="28">
        <f>19*L3/20000+649</f>
        <v>649</v>
      </c>
      <c r="R12" s="25">
        <v>85</v>
      </c>
      <c r="S12" s="28">
        <f>63*Q3/25+860</f>
        <v>860</v>
      </c>
      <c r="W12" s="25">
        <v>60000</v>
      </c>
      <c r="X12" s="28">
        <f>36*V3/20000+659</f>
        <v>659</v>
      </c>
    </row>
    <row r="13" spans="2:25" x14ac:dyDescent="0.15">
      <c r="C13" s="25">
        <v>80000</v>
      </c>
      <c r="D13" s="28">
        <f>22*B3/20000+601</f>
        <v>601</v>
      </c>
      <c r="H13" s="25">
        <v>80000</v>
      </c>
      <c r="I13" s="28">
        <f>16*G3/20000+635</f>
        <v>635</v>
      </c>
      <c r="M13" s="25">
        <v>80000</v>
      </c>
      <c r="N13" s="28">
        <f>16*L3/20000+661</f>
        <v>661</v>
      </c>
      <c r="R13" s="25">
        <v>110</v>
      </c>
      <c r="S13" s="28">
        <f>63*Q3/30+907</f>
        <v>907</v>
      </c>
      <c r="W13" s="25">
        <v>80000</v>
      </c>
      <c r="X13" s="28">
        <f>29*V3/20000+687</f>
        <v>687</v>
      </c>
    </row>
    <row r="14" spans="2:25" x14ac:dyDescent="0.15">
      <c r="C14" s="25">
        <v>100000</v>
      </c>
      <c r="D14" s="28">
        <f>19*B3/20000+616</f>
        <v>616</v>
      </c>
      <c r="H14" s="25">
        <v>100000</v>
      </c>
      <c r="I14" s="28">
        <f>13*G3/20000+650</f>
        <v>650</v>
      </c>
      <c r="M14" s="25">
        <v>100000</v>
      </c>
      <c r="N14" s="28">
        <f>15*L3/20000+666</f>
        <v>666</v>
      </c>
      <c r="R14" s="25">
        <v>140</v>
      </c>
      <c r="S14" s="28">
        <f>62*Q3/40+984</f>
        <v>984</v>
      </c>
      <c r="W14" s="25">
        <v>100000</v>
      </c>
      <c r="X14" s="28">
        <f>26*V3/20000+702</f>
        <v>702</v>
      </c>
    </row>
    <row r="15" spans="2:25" x14ac:dyDescent="0.15">
      <c r="C15" s="25">
        <v>120000</v>
      </c>
      <c r="D15" s="28">
        <f>26*B3/30000+626</f>
        <v>626</v>
      </c>
      <c r="H15" s="25">
        <v>120000</v>
      </c>
      <c r="I15" s="28">
        <f>16*G3/30000+664</f>
        <v>664</v>
      </c>
      <c r="M15" s="25">
        <v>120000</v>
      </c>
      <c r="N15" s="28">
        <f>20*L3/30000+676</f>
        <v>676</v>
      </c>
      <c r="R15" s="25">
        <v>180</v>
      </c>
      <c r="S15" s="28">
        <f>62*Q3/50+1040</f>
        <v>1040</v>
      </c>
      <c r="W15" s="25">
        <v>120000</v>
      </c>
      <c r="X15" s="28">
        <f>32*V3/30000+730</f>
        <v>730</v>
      </c>
    </row>
    <row r="16" spans="2:25" x14ac:dyDescent="0.15">
      <c r="C16" s="25">
        <v>150000</v>
      </c>
      <c r="D16" s="28">
        <f>34*B3/50000+654</f>
        <v>654</v>
      </c>
      <c r="H16" s="25">
        <v>150000</v>
      </c>
      <c r="I16" s="28">
        <f>23*G3/50000+675</f>
        <v>675</v>
      </c>
      <c r="M16" s="25">
        <v>150000</v>
      </c>
      <c r="N16" s="28">
        <f>27*L3/50000+695</f>
        <v>695</v>
      </c>
      <c r="R16" s="25">
        <v>230</v>
      </c>
      <c r="S16" s="28">
        <f>63*Q3/70+1119</f>
        <v>1119</v>
      </c>
      <c r="W16" s="25">
        <v>150000</v>
      </c>
      <c r="X16" s="28">
        <f>45*V3/50000+755</f>
        <v>755</v>
      </c>
    </row>
    <row r="17" spans="3:24" x14ac:dyDescent="0.15">
      <c r="C17" s="25">
        <v>200000</v>
      </c>
      <c r="D17" s="28">
        <f>28*B3/50000+678</f>
        <v>678</v>
      </c>
      <c r="H17" s="25">
        <v>200000</v>
      </c>
      <c r="I17" s="28">
        <f>19*G3/50000+691</f>
        <v>691</v>
      </c>
      <c r="M17" s="25">
        <v>200000</v>
      </c>
      <c r="N17" s="28">
        <f>24*L3/50000+707</f>
        <v>707</v>
      </c>
      <c r="R17" s="25">
        <v>300</v>
      </c>
      <c r="S17" s="28">
        <f>62*Q3/90+1183</f>
        <v>1183</v>
      </c>
      <c r="W17" s="25">
        <v>200000</v>
      </c>
      <c r="X17" s="28">
        <f>35*V3/50000+795</f>
        <v>795</v>
      </c>
    </row>
    <row r="18" spans="3:24" x14ac:dyDescent="0.15">
      <c r="C18" s="25">
        <v>250000</v>
      </c>
      <c r="D18" s="28">
        <f>24*B3/50000+698</f>
        <v>698</v>
      </c>
      <c r="H18" s="25">
        <v>250000</v>
      </c>
      <c r="I18" s="28">
        <f>15*G3/50000+711</f>
        <v>711</v>
      </c>
      <c r="M18" s="25">
        <v>250000</v>
      </c>
      <c r="N18" s="28">
        <f>21*L3/50000+722</f>
        <v>722</v>
      </c>
      <c r="R18" s="25">
        <v>390</v>
      </c>
      <c r="S18" s="28">
        <f>63*Q3/120+1247</f>
        <v>1247</v>
      </c>
      <c r="W18" s="25">
        <v>250000</v>
      </c>
      <c r="X18" s="28">
        <f>30*V3/50000+820</f>
        <v>820</v>
      </c>
    </row>
    <row r="19" spans="3:24" x14ac:dyDescent="0.15">
      <c r="C19" s="25">
        <v>300000</v>
      </c>
      <c r="D19" s="28">
        <f>42*B3/100000+716</f>
        <v>716</v>
      </c>
      <c r="H19" s="25">
        <v>300000</v>
      </c>
      <c r="I19" s="28">
        <f>27*G3/100000+720</f>
        <v>720</v>
      </c>
      <c r="M19" s="25">
        <v>300000</v>
      </c>
      <c r="N19" s="28">
        <f>37*L3/100000+737</f>
        <v>737</v>
      </c>
      <c r="R19" s="25">
        <v>510</v>
      </c>
      <c r="S19" s="28">
        <f>62*Q3/160+1318</f>
        <v>1318</v>
      </c>
      <c r="W19" s="25">
        <v>300000</v>
      </c>
      <c r="X19" s="28">
        <f>51*V3/100000+847</f>
        <v>847</v>
      </c>
    </row>
    <row r="20" spans="3:24" x14ac:dyDescent="0.15">
      <c r="C20" s="25">
        <v>400000</v>
      </c>
      <c r="D20" s="28">
        <f>34*B3/100000+748</f>
        <v>748</v>
      </c>
      <c r="H20" s="25">
        <v>400000</v>
      </c>
      <c r="I20" s="28">
        <f>21*G3/100000+744</f>
        <v>744</v>
      </c>
      <c r="M20" s="25">
        <v>400000</v>
      </c>
      <c r="N20" s="28">
        <f>32*L3/100000+757</f>
        <v>757</v>
      </c>
      <c r="R20" s="25">
        <v>670</v>
      </c>
      <c r="S20" s="28">
        <f>63*Q3/200+1367</f>
        <v>1367</v>
      </c>
      <c r="W20" s="25">
        <v>400000</v>
      </c>
      <c r="X20" s="28">
        <f>40*V3/100000+891</f>
        <v>891</v>
      </c>
    </row>
    <row r="21" spans="3:24" x14ac:dyDescent="0.15">
      <c r="C21" s="25">
        <v>500000</v>
      </c>
      <c r="D21" s="28">
        <f>25*B3/100000+793</f>
        <v>793</v>
      </c>
      <c r="H21" s="25">
        <v>500000</v>
      </c>
      <c r="I21" s="28">
        <f>18*G3/100000+759</f>
        <v>759</v>
      </c>
      <c r="M21" s="25">
        <v>500000</v>
      </c>
      <c r="N21" s="28">
        <f>28*L3/100000+777</f>
        <v>777</v>
      </c>
      <c r="R21" s="25">
        <v>870</v>
      </c>
      <c r="S21" s="28">
        <f>62*Q3/260+1434</f>
        <v>1434</v>
      </c>
      <c r="W21" s="25">
        <v>500000</v>
      </c>
      <c r="X21" s="28">
        <f>36*V3/100000+911</f>
        <v>911</v>
      </c>
    </row>
    <row r="22" spans="3:24" x14ac:dyDescent="0.15">
      <c r="C22" s="25">
        <v>600000</v>
      </c>
      <c r="D22" s="28">
        <f>25*B3/200000+868</f>
        <v>868</v>
      </c>
      <c r="H22" s="25">
        <v>600000</v>
      </c>
      <c r="I22" s="28">
        <f>30*G3/200000+777</f>
        <v>777</v>
      </c>
      <c r="M22" s="25">
        <v>600000</v>
      </c>
      <c r="N22" s="28">
        <f>48*L3/200000+801</f>
        <v>801</v>
      </c>
      <c r="R22" s="25">
        <v>1130</v>
      </c>
      <c r="S22" s="28">
        <f>63*Q3/330+1488</f>
        <v>1488</v>
      </c>
      <c r="W22" s="25">
        <v>600000</v>
      </c>
      <c r="X22" s="28">
        <f>57*V3/200000+956</f>
        <v>956</v>
      </c>
    </row>
    <row r="23" spans="3:24" x14ac:dyDescent="0.15">
      <c r="C23" s="25">
        <v>800000</v>
      </c>
      <c r="D23" s="28">
        <f>38*B3/200000+816</f>
        <v>816</v>
      </c>
      <c r="H23" s="25">
        <v>800000</v>
      </c>
      <c r="I23" s="28">
        <f>24*G3/200000+801</f>
        <v>801</v>
      </c>
      <c r="M23" s="25">
        <v>800000</v>
      </c>
      <c r="N23" s="28">
        <f>42*L3/200000+825</f>
        <v>825</v>
      </c>
      <c r="R23" s="25">
        <v>1460</v>
      </c>
      <c r="S23" s="28">
        <f>63*Q3/440+1558</f>
        <v>1558</v>
      </c>
      <c r="W23" s="25">
        <v>800000</v>
      </c>
      <c r="X23" s="28">
        <f>47*V3/200000+996</f>
        <v>996</v>
      </c>
    </row>
    <row r="24" spans="3:24" x14ac:dyDescent="0.15">
      <c r="C24" s="25">
        <v>1000000</v>
      </c>
      <c r="D24" s="28">
        <f>39*B3/200000+811</f>
        <v>811</v>
      </c>
      <c r="H24" s="25">
        <v>1000000</v>
      </c>
      <c r="I24" s="28">
        <f>21*G3/200000+816</f>
        <v>816</v>
      </c>
      <c r="M24" s="25">
        <v>1000000</v>
      </c>
      <c r="N24" s="28">
        <f>37*L3/200000+850</f>
        <v>850</v>
      </c>
      <c r="R24" s="25">
        <v>1900</v>
      </c>
      <c r="S24" s="28">
        <f>62*Q3/570+1624</f>
        <v>1624</v>
      </c>
      <c r="W24" s="25">
        <v>1000000</v>
      </c>
      <c r="X24" s="28">
        <f>41*V3/200000+1026</f>
        <v>1026</v>
      </c>
    </row>
    <row r="25" spans="3:24" x14ac:dyDescent="0.15">
      <c r="C25" s="25">
        <v>1200000</v>
      </c>
      <c r="D25" s="28">
        <f>38*B3/300000+893</f>
        <v>893</v>
      </c>
      <c r="H25" s="25">
        <v>1200000</v>
      </c>
      <c r="I25" s="28">
        <f>27*G3/300000+834</f>
        <v>834</v>
      </c>
      <c r="M25" s="25">
        <v>1200000</v>
      </c>
      <c r="N25" s="28">
        <f>48*L3/300000+880</f>
        <v>880</v>
      </c>
      <c r="R25" s="25">
        <v>2470</v>
      </c>
      <c r="S25" s="28">
        <f>62*Q3/740+1686</f>
        <v>1686</v>
      </c>
      <c r="W25" s="25">
        <v>1200000</v>
      </c>
      <c r="X25" s="28">
        <f>50*V3/300000+1072</f>
        <v>1072</v>
      </c>
    </row>
    <row r="26" spans="3:24" x14ac:dyDescent="0.15">
      <c r="C26" s="25">
        <v>1500000</v>
      </c>
      <c r="D26" s="28">
        <f>36*B3/500000+975</f>
        <v>975</v>
      </c>
      <c r="H26" s="25">
        <v>1500000</v>
      </c>
      <c r="I26" s="28">
        <f>36*G3/500000+861</f>
        <v>861</v>
      </c>
      <c r="M26" s="25">
        <v>1500000</v>
      </c>
      <c r="N26" s="28">
        <f>70*L3/500000+910</f>
        <v>910</v>
      </c>
      <c r="R26" s="25">
        <v>3210</v>
      </c>
      <c r="S26" s="28">
        <f>63*Q3/970+1747</f>
        <v>1747</v>
      </c>
      <c r="W26" s="25">
        <v>1500000</v>
      </c>
      <c r="X26" s="28">
        <f>70*V3/500000+1112</f>
        <v>1112</v>
      </c>
    </row>
    <row r="27" spans="3:24" x14ac:dyDescent="0.15">
      <c r="C27" s="25">
        <v>2000000</v>
      </c>
      <c r="D27" s="28">
        <f>39*B3/500000+963</f>
        <v>963</v>
      </c>
      <c r="H27" s="25">
        <v>2000000</v>
      </c>
      <c r="I27" s="28">
        <f>29*G3/500000+889</f>
        <v>889</v>
      </c>
      <c r="M27" s="25">
        <v>2000000</v>
      </c>
      <c r="N27" s="28">
        <f>60*L3/500000+950</f>
        <v>950</v>
      </c>
      <c r="R27" s="25">
        <v>4180</v>
      </c>
      <c r="S27" s="28">
        <f>63*Q3/1250+1808</f>
        <v>1808</v>
      </c>
      <c r="W27" s="25">
        <v>2000000</v>
      </c>
      <c r="X27" s="28">
        <f>57*V3/500000+1164</f>
        <v>1164</v>
      </c>
    </row>
    <row r="28" spans="3:24" x14ac:dyDescent="0.15">
      <c r="C28" s="25">
        <v>2500000</v>
      </c>
      <c r="D28" s="28">
        <f>51*B3/500000+903</f>
        <v>903</v>
      </c>
      <c r="H28" s="25">
        <v>2500000</v>
      </c>
      <c r="I28" s="28">
        <f>25*G3/500000+909</f>
        <v>909</v>
      </c>
      <c r="M28" s="25">
        <v>2500000</v>
      </c>
      <c r="N28" s="28">
        <f>54*L3/500000+980</f>
        <v>980</v>
      </c>
      <c r="R28" s="25">
        <v>5430</v>
      </c>
      <c r="S28" s="28">
        <f>62*Q3/1630+1876</f>
        <v>1876</v>
      </c>
      <c r="W28" s="25">
        <v>2500000</v>
      </c>
      <c r="X28" s="28">
        <f>48*V3/500000+1209</f>
        <v>1209</v>
      </c>
    </row>
    <row r="29" spans="3:24" x14ac:dyDescent="0.15">
      <c r="C29" s="25">
        <v>3000000</v>
      </c>
      <c r="D29" s="28">
        <f>50*B3/1000000+1059</f>
        <v>1059</v>
      </c>
      <c r="H29" s="25">
        <v>3000000</v>
      </c>
      <c r="I29" s="28">
        <f>41*G3/1000000+936</f>
        <v>936</v>
      </c>
      <c r="M29" s="25">
        <v>3000000</v>
      </c>
      <c r="N29" s="28">
        <f>92*L3/1000000+1028</f>
        <v>1028</v>
      </c>
      <c r="R29" s="25">
        <v>7060</v>
      </c>
      <c r="S29" s="28">
        <f>62*Q3/2120+1939</f>
        <v>1939</v>
      </c>
      <c r="W29" s="25">
        <v>3000000</v>
      </c>
      <c r="X29" s="28">
        <f>79*V3/1000000+1260</f>
        <v>1260</v>
      </c>
    </row>
    <row r="30" spans="3:24" x14ac:dyDescent="0.15">
      <c r="C30" s="25">
        <v>4000000</v>
      </c>
      <c r="D30" s="28">
        <f>51*B3/1000000+1055</f>
        <v>1055</v>
      </c>
      <c r="H30" s="25">
        <v>4000000</v>
      </c>
      <c r="I30" s="28">
        <f>34*G3/1000000+964</f>
        <v>964</v>
      </c>
      <c r="M30" s="25">
        <v>4000000</v>
      </c>
      <c r="N30" s="28">
        <f>79*L3/1000000+1080</f>
        <v>1080</v>
      </c>
      <c r="R30" s="25">
        <v>9180</v>
      </c>
      <c r="S30" s="28">
        <f>63*Q3/2750+1998</f>
        <v>1998</v>
      </c>
      <c r="W30" s="25">
        <v>4000000</v>
      </c>
      <c r="X30" s="28">
        <f>66*V3/1000000+1312</f>
        <v>1312</v>
      </c>
    </row>
    <row r="31" spans="3:24" x14ac:dyDescent="0.15">
      <c r="C31" s="25">
        <v>5000000</v>
      </c>
      <c r="D31" s="28">
        <f>51*B3/1000000+1055</f>
        <v>1055</v>
      </c>
      <c r="H31" s="25">
        <v>5000000</v>
      </c>
      <c r="I31" s="28">
        <f>29*G3/1000000+989</f>
        <v>989</v>
      </c>
      <c r="M31" s="25">
        <v>5000000</v>
      </c>
      <c r="N31" s="28">
        <f>70*L3/1000000+1125</f>
        <v>1125</v>
      </c>
      <c r="R31" s="25">
        <v>11930</v>
      </c>
      <c r="S31" s="28">
        <f>62*Q3/3570+2065</f>
        <v>2065</v>
      </c>
      <c r="W31" s="25">
        <v>5000000</v>
      </c>
      <c r="X31" s="28">
        <f>55*V3/1000000+1367</f>
        <v>1367</v>
      </c>
    </row>
    <row r="32" spans="3:24" x14ac:dyDescent="0.15">
      <c r="C32" s="25">
        <v>6000000</v>
      </c>
      <c r="D32" s="28">
        <f>50*B3/2000000+1211</f>
        <v>1211</v>
      </c>
      <c r="H32" s="25">
        <v>6000000</v>
      </c>
      <c r="I32" s="28">
        <f>47*G3/2000000+1022</f>
        <v>1022</v>
      </c>
      <c r="M32" s="25">
        <v>6000000</v>
      </c>
      <c r="N32" s="28">
        <f>122*L3/2000000+1179</f>
        <v>1179</v>
      </c>
      <c r="R32" s="25">
        <v>15500</v>
      </c>
      <c r="S32" s="28">
        <v>2335</v>
      </c>
      <c r="W32" s="25">
        <v>6000000</v>
      </c>
      <c r="X32" s="28">
        <f>92*V3/2000000+1421</f>
        <v>1421</v>
      </c>
    </row>
    <row r="33" spans="3:24" x14ac:dyDescent="0.15">
      <c r="C33" s="25">
        <v>8000000</v>
      </c>
      <c r="D33" s="28">
        <f>64*B3/2000000+1155</f>
        <v>1155</v>
      </c>
      <c r="H33" s="25">
        <v>8000000</v>
      </c>
      <c r="I33" s="28">
        <f>39*G3/2000000+1054</f>
        <v>1054</v>
      </c>
      <c r="M33" s="25">
        <v>8000000</v>
      </c>
      <c r="N33" s="28">
        <f>104*L3/2000000+1251</f>
        <v>1251</v>
      </c>
      <c r="W33" s="25">
        <v>8000000</v>
      </c>
      <c r="X33" s="28">
        <f>75*V3/2000000+1489</f>
        <v>1489</v>
      </c>
    </row>
    <row r="34" spans="3:24" x14ac:dyDescent="0.15">
      <c r="C34" s="25">
        <v>10000000</v>
      </c>
      <c r="D34" s="28">
        <f>62*B3/2000000+1165</f>
        <v>1165</v>
      </c>
      <c r="H34" s="25">
        <v>10000000</v>
      </c>
      <c r="I34" s="28">
        <f>33*G3/2000000+1084</f>
        <v>1084</v>
      </c>
      <c r="M34" s="25">
        <v>10000000</v>
      </c>
      <c r="N34" s="28">
        <f>93*L3/2000000+1306</f>
        <v>1306</v>
      </c>
      <c r="W34" s="25">
        <v>10000000</v>
      </c>
      <c r="X34" s="28">
        <f>63*V3/2000000+1549</f>
        <v>1549</v>
      </c>
    </row>
    <row r="35" spans="3:24" x14ac:dyDescent="0.15">
      <c r="C35" s="25">
        <v>12000000</v>
      </c>
      <c r="D35" s="28">
        <f>64*B3/3000000+1281</f>
        <v>1281</v>
      </c>
      <c r="H35" s="25">
        <v>12000000</v>
      </c>
      <c r="I35" s="28">
        <f>42*G3/3000000+1114</f>
        <v>1114</v>
      </c>
      <c r="M35" s="25">
        <v>12000000</v>
      </c>
      <c r="N35" s="28">
        <f>123*L3/3000000+1372</f>
        <v>1372</v>
      </c>
      <c r="W35" s="25">
        <v>12000000</v>
      </c>
      <c r="X35" s="28">
        <f>81*V3/3000000+1603</f>
        <v>1603</v>
      </c>
    </row>
    <row r="36" spans="3:24" x14ac:dyDescent="0.15">
      <c r="C36" s="25">
        <v>15000000</v>
      </c>
      <c r="D36" s="28">
        <f>76*B3/5000000+1373</f>
        <v>1373</v>
      </c>
      <c r="H36" s="25">
        <v>15000000</v>
      </c>
      <c r="I36" s="28">
        <f>57*G3/5000000+1153</f>
        <v>1153</v>
      </c>
      <c r="M36" s="25">
        <v>15000000</v>
      </c>
      <c r="N36" s="28">
        <f>175*L3/5000000+1462</f>
        <v>1462</v>
      </c>
      <c r="W36" s="25">
        <v>15000000</v>
      </c>
      <c r="X36" s="28">
        <f>110*V3/5000000+1678</f>
        <v>1678</v>
      </c>
    </row>
    <row r="37" spans="3:24" x14ac:dyDescent="0.15">
      <c r="C37" s="25">
        <v>20000000</v>
      </c>
      <c r="D37" s="28">
        <f>76*B3/5000000+1373</f>
        <v>1373</v>
      </c>
      <c r="H37" s="25">
        <v>20000000</v>
      </c>
      <c r="I37" s="28">
        <f>47*G3/5000000+1193</f>
        <v>1193</v>
      </c>
      <c r="M37" s="25">
        <v>20000000</v>
      </c>
      <c r="N37" s="28">
        <f>151*L3/5000000+1558</f>
        <v>1558</v>
      </c>
      <c r="W37" s="25">
        <v>20000000</v>
      </c>
      <c r="X37" s="28">
        <f>90*V3/5000000+1758</f>
        <v>1758</v>
      </c>
    </row>
    <row r="38" spans="3:24" x14ac:dyDescent="0.15">
      <c r="C38" s="25">
        <v>25000000</v>
      </c>
      <c r="D38" s="28">
        <f>75*B3/5000000+1378</f>
        <v>1378</v>
      </c>
      <c r="H38" s="25">
        <v>25000000</v>
      </c>
      <c r="I38" s="28">
        <f>39*G3/5000000+1233</f>
        <v>1233</v>
      </c>
      <c r="M38" s="25">
        <v>25000000</v>
      </c>
      <c r="N38" s="28">
        <f>134*L3/5000000+1643</f>
        <v>1643</v>
      </c>
      <c r="W38" s="25">
        <v>25000000</v>
      </c>
      <c r="X38" s="28">
        <f>76*V3/5000000+1828</f>
        <v>1828</v>
      </c>
    </row>
    <row r="39" spans="3:24" x14ac:dyDescent="0.15">
      <c r="C39" s="25">
        <v>30000000</v>
      </c>
      <c r="D39" s="28">
        <f>89*B3/10000000+1561</f>
        <v>1561</v>
      </c>
      <c r="H39" s="25">
        <v>30000000</v>
      </c>
      <c r="I39" s="28">
        <f>66*G3/10000000+1269</f>
        <v>1269</v>
      </c>
      <c r="M39" s="25">
        <v>30000000</v>
      </c>
      <c r="N39" s="28">
        <v>2447</v>
      </c>
      <c r="W39" s="25">
        <v>30000000</v>
      </c>
      <c r="X39" s="28">
        <f>126*V3/10000000+1906</f>
        <v>1906</v>
      </c>
    </row>
    <row r="40" spans="3:24" x14ac:dyDescent="0.15">
      <c r="C40" s="25">
        <v>40000000</v>
      </c>
      <c r="D40" s="28">
        <f>89*B3/10000000+1561</f>
        <v>1561</v>
      </c>
      <c r="H40" s="25">
        <v>40000000</v>
      </c>
      <c r="I40" s="28">
        <f>53*G3/10000000+1321</f>
        <v>1321</v>
      </c>
      <c r="W40" s="25">
        <v>40000000</v>
      </c>
      <c r="X40" s="28">
        <f>104*V3/10000000+1994</f>
        <v>1994</v>
      </c>
    </row>
    <row r="41" spans="3:24" x14ac:dyDescent="0.15">
      <c r="C41" s="25">
        <v>50000000</v>
      </c>
      <c r="D41" s="28">
        <f>88*B3/10000000+1566</f>
        <v>1566</v>
      </c>
      <c r="H41" s="25">
        <v>50000000</v>
      </c>
      <c r="I41" s="28">
        <f>46*G3/10000000+1356</f>
        <v>1356</v>
      </c>
      <c r="W41" s="25">
        <v>50000000</v>
      </c>
      <c r="X41" s="28">
        <f>87*V3/10000000+2079</f>
        <v>2079</v>
      </c>
    </row>
    <row r="42" spans="3:24" x14ac:dyDescent="0.15">
      <c r="C42" s="25">
        <v>60000000</v>
      </c>
      <c r="D42" s="28">
        <f>101*B3/20000000+1791</f>
        <v>1791</v>
      </c>
      <c r="H42" s="25">
        <v>60000000</v>
      </c>
      <c r="I42" s="28">
        <f>75*G3/20000000+1407</f>
        <v>1407</v>
      </c>
      <c r="W42" s="25">
        <v>60000000</v>
      </c>
      <c r="X42" s="28">
        <f>145*V3/20000000+2166</f>
        <v>2166</v>
      </c>
    </row>
    <row r="43" spans="3:24" x14ac:dyDescent="0.15">
      <c r="C43" s="25">
        <v>80000000</v>
      </c>
      <c r="D43" s="28">
        <f>114*B3/20000000+1739</f>
        <v>1739</v>
      </c>
      <c r="H43" s="25">
        <v>80000000</v>
      </c>
      <c r="I43" s="28">
        <f>61*G3/20000000+1463</f>
        <v>1463</v>
      </c>
      <c r="W43" s="25">
        <v>80000000</v>
      </c>
      <c r="X43" s="28">
        <f>119*V3/20000000+2270</f>
        <v>2270</v>
      </c>
    </row>
    <row r="44" spans="3:24" x14ac:dyDescent="0.15">
      <c r="C44" s="25">
        <v>100000000</v>
      </c>
      <c r="D44" s="28">
        <v>2309</v>
      </c>
      <c r="H44" s="25">
        <v>100000000</v>
      </c>
      <c r="I44" s="28">
        <f>53*G3/20000000+1503</f>
        <v>1503</v>
      </c>
      <c r="W44" s="25">
        <v>100000000</v>
      </c>
      <c r="X44" s="28">
        <v>2865</v>
      </c>
    </row>
    <row r="45" spans="3:24" x14ac:dyDescent="0.15">
      <c r="H45" s="25">
        <v>120000000</v>
      </c>
      <c r="I45" s="28">
        <f>66*G3/30000000+1557</f>
        <v>1557</v>
      </c>
    </row>
    <row r="46" spans="3:24" x14ac:dyDescent="0.15">
      <c r="H46" s="25">
        <v>150000000</v>
      </c>
      <c r="I46" s="28">
        <f>91*G3/50000000+1614</f>
        <v>1614</v>
      </c>
    </row>
    <row r="47" spans="3:24" x14ac:dyDescent="0.15">
      <c r="H47" s="25">
        <v>200000000</v>
      </c>
      <c r="I47" s="34">
        <f>73*G3/50000000+1686</f>
        <v>1686</v>
      </c>
    </row>
    <row r="48" spans="3:24" x14ac:dyDescent="0.15">
      <c r="H48" s="25">
        <v>250000000</v>
      </c>
      <c r="I48" s="34">
        <f>63*G3/50000000+1736</f>
        <v>1736</v>
      </c>
    </row>
    <row r="49" spans="8:9" x14ac:dyDescent="0.15">
      <c r="H49" s="25">
        <v>300000000</v>
      </c>
      <c r="I49" s="34">
        <v>2114</v>
      </c>
    </row>
  </sheetData>
  <sheetCalcPr fullCalcOnLoad="1"/>
  <sheetProtection password="829B" sheet="1"/>
  <mergeCells count="5">
    <mergeCell ref="B1:E1"/>
    <mergeCell ref="G1:J1"/>
    <mergeCell ref="L1:O1"/>
    <mergeCell ref="Q1:T1"/>
    <mergeCell ref="V1:Y1"/>
  </mergeCells>
  <phoneticPr fontId="1"/>
  <pageMargins left="0.7" right="0.7" top="0.75" bottom="0.75" header="0.3" footer="0.3"/>
  <pageSetup paperSize="9" orientation="portrait" r:id="rId1"/>
  <colBreaks count="4" manualBreakCount="4">
    <brk id="6" max="1048575" man="1"/>
    <brk id="11" max="1048575" man="1"/>
    <brk id="16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評点計算テーブル</vt:lpstr>
      <vt:lpstr>評点計算テーブル!Print_Area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work</cp:lastModifiedBy>
  <cp:lastPrinted>2015-04-24T00:55:04Z</cp:lastPrinted>
  <dcterms:created xsi:type="dcterms:W3CDTF">2008-09-29T07:15:59Z</dcterms:created>
  <dcterms:modified xsi:type="dcterms:W3CDTF">2024-03-01T08:09:29Z</dcterms:modified>
</cp:coreProperties>
</file>